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<sst xmlns="http://schemas.openxmlformats.org/spreadsheetml/2006/main" count="628" uniqueCount="157">
  <si>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</si>
  <si>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</si>
  <si>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</si>
  <si>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</si>
  <si>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</si>
  <si>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</si>
  <si>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</si>
  <si>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</si>
  <si>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</si>
  <si>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</si>
  <si>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</si>
  <si>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</si>
  <si>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</si>
  <si>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</si>
  <si>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</si>
  <si>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</si>
  <si>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</si>
  <si>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</si>
  <si>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</si>
  <si>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</si>
  <si>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</si>
  <si>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</si>
  <si>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</si>
  <si>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</si>
  <si>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</si>
  <si>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</si>
  <si>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</si>
  <si>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</si>
  <si>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</si>
  <si>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</si>
  <si>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</si>
  <si>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</si>
  <si>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</si>
  <si>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</si>
  <si>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</si>
  <si>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</si>
  <si>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</si>
  <si>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</si>
  <si>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</si>
  <si>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</si>
  <si>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</si>
  <si>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</si>
  <si>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</si>
  <si>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</si>
  <si>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</si>
  <si>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</si>
  <si>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</si>
  <si>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</si>
  <si>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</si>
  <si>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</si>
  <si>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</si>
  <si>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</si>
  <si>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</si>
  <si>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</si>
  <si>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</si>
  <si>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</si>
  <si>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</si>
  <si>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</si>
  <si>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</si>
  <si>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</si>
  <si>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</si>
  <si>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</si>
  <si>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</si>
  <si>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</si>
  <si>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</si>
  <si>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</si>
  <si>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</si>
  <si>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</si>
  <si>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</si>
  <si>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</si>
  <si>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</si>
  <si>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</si>
  <si>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</si>
  <si>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</si>
  <si>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</si>
  <si>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</si>
  <si>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</si>
  <si>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</si>
  <si>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</si>
  <si>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</si>
  <si>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</si>
  <si>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</si>
  <si>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</si>
  <si>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</si>
  <si>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</si>
  <si>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</si>
  <si>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</si>
  <si>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</si>
  <si>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</si>
  <si>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</si>
  <si>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</si>
  <si>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</si>
  <si>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</si>
  <si>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</si>
  <si>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</si>
  <si>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</si>
  <si>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</si>
  <si>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</si>
  <si>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</si>
  <si>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</si>
  <si>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</si>
  <si>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</si>
  <si>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</si>
  <si>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</si>
  <si>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</si>
  <si>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</si>
  <si>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</si>
  <si>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</si>
  <si>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</si>
  <si>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</si>
  <si>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</si>
  <si>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</si>
  <si>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</si>
  <si>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</si>
  <si>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</si>
  <si>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</si>
  <si>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</si>
  <si>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</si>
  <si>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</si>
  <si>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</si>
  <si>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</si>
  <si>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</si>
  <si>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</si>
  <si>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</si>
  <si>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</si>
  <si>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</si>
  <si>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</si>
  <si>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</si>
  <si>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</si>
  <si>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</si>
  <si>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</si>
  <si>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</si>
  <si>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</si>
  <si>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</si>
  <si>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</si>
  <si>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</si>
  <si>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</si>
  <si>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</si>
  <si>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</si>
  <si>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</si>
  <si>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</si>
  <si>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</si>
  <si>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</si>
  <si>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</si>
  <si>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</si>
  <si>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</si>
  <si>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</si>
  <si>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</si>
  <si>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</si>
  <si>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</si>
  <si>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</si>
  <si>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</si>
  <si>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</si>
  <si>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</si>
  <si>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</si>
  <si>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06.04.2016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</si>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</sst>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5" sqref="F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153</v>
      </c>
      <c r="N3" s="200" t="s">
        <v>154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150</v>
      </c>
      <c r="F4" s="203" t="s">
        <v>34</v>
      </c>
      <c r="G4" s="205" t="s">
        <v>151</v>
      </c>
      <c r="H4" s="198" t="s">
        <v>152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156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8.7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215181.81999999998</v>
      </c>
      <c r="G8" s="15">
        <f aca="true" t="shared" si="0" ref="G8:G21">F8-E8</f>
        <v>-56492.860000000015</v>
      </c>
      <c r="H8" s="38">
        <f>F8/E8*100</f>
        <v>79.20569557678323</v>
      </c>
      <c r="I8" s="28">
        <f>F8-D8</f>
        <v>-625868.18</v>
      </c>
      <c r="J8" s="28">
        <f>F8/D8*100</f>
        <v>25.58490220557636</v>
      </c>
      <c r="K8" s="15">
        <f>F8-139482.78</f>
        <v>75699.03999999998</v>
      </c>
      <c r="L8" s="15">
        <f>F8/139482.78*100</f>
        <v>154.27124409192302</v>
      </c>
      <c r="M8" s="15">
        <f>M9+M15+M18+M19+M20+M32+M17</f>
        <v>71360.49999999999</v>
      </c>
      <c r="N8" s="15">
        <f>N9+N15+N18+N19+N20+N32+N17</f>
        <v>5394.109999999964</v>
      </c>
      <c r="O8" s="15">
        <f>N8-M8</f>
        <v>-65966.39000000001</v>
      </c>
      <c r="P8" s="15">
        <f>N8/M8*100</f>
        <v>7.558957686675353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115959.76</v>
      </c>
      <c r="G9" s="36">
        <f t="shared" si="0"/>
        <v>-29823.509999999995</v>
      </c>
      <c r="H9" s="32">
        <f>F9/E9*100</f>
        <v>79.54257028258456</v>
      </c>
      <c r="I9" s="42">
        <f>F9-D9</f>
        <v>-343740.24</v>
      </c>
      <c r="J9" s="42">
        <f>F9/D9*100</f>
        <v>25.225094626930606</v>
      </c>
      <c r="K9" s="106">
        <f>F9-78437.5</f>
        <v>37522.259999999995</v>
      </c>
      <c r="L9" s="106">
        <f>F9/78437.5*100</f>
        <v>147.83714422310757</v>
      </c>
      <c r="M9" s="32">
        <f>E9-березень!E9</f>
        <v>39799.999999999985</v>
      </c>
      <c r="N9" s="178">
        <f>F9-березень!F9</f>
        <v>3677.939999999988</v>
      </c>
      <c r="O9" s="40">
        <f>N9-M9</f>
        <v>-36122.06</v>
      </c>
      <c r="P9" s="42">
        <f>N9/M9*100</f>
        <v>9.241055276381882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101958.79</v>
      </c>
      <c r="G10" s="109">
        <f t="shared" si="0"/>
        <v>-28958.050000000003</v>
      </c>
      <c r="H10" s="32">
        <f aca="true" t="shared" si="1" ref="H10:H31">F10/E10*100</f>
        <v>77.8805767080843</v>
      </c>
      <c r="I10" s="110">
        <f aca="true" t="shared" si="2" ref="I10:I32">F10-D10</f>
        <v>-309481.21</v>
      </c>
      <c r="J10" s="110">
        <f aca="true" t="shared" si="3" ref="J10:J31">F10/D10*100</f>
        <v>24.78096198716702</v>
      </c>
      <c r="K10" s="112">
        <f>F10-69239.48</f>
        <v>32719.309999999998</v>
      </c>
      <c r="L10" s="112">
        <f>F10/69239.48*100</f>
        <v>147.2552797912405</v>
      </c>
      <c r="M10" s="111">
        <f>E10-березень!E10</f>
        <v>36300</v>
      </c>
      <c r="N10" s="179">
        <f>F10-березень!F10</f>
        <v>3494.409999999989</v>
      </c>
      <c r="O10" s="112">
        <f aca="true" t="shared" si="4" ref="O10:O32">N10-M10</f>
        <v>-32805.59000000001</v>
      </c>
      <c r="P10" s="42">
        <f aca="true" t="shared" si="5" ref="P10:P25">N10/M10*100</f>
        <v>9.626473829201071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8077.11</v>
      </c>
      <c r="G11" s="109">
        <f t="shared" si="0"/>
        <v>-557.8300000000008</v>
      </c>
      <c r="H11" s="32">
        <f t="shared" si="1"/>
        <v>93.53985088489323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E11-березень!E11</f>
        <v>1550.000000000001</v>
      </c>
      <c r="N11" s="179">
        <f>F11-березень!F11</f>
        <v>0</v>
      </c>
      <c r="O11" s="112">
        <f t="shared" si="4"/>
        <v>-1550.000000000001</v>
      </c>
      <c r="P11" s="42">
        <f t="shared" si="5"/>
        <v>0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2425.3</v>
      </c>
      <c r="G12" s="109">
        <f t="shared" si="0"/>
        <v>734.6900000000003</v>
      </c>
      <c r="H12" s="32">
        <f t="shared" si="1"/>
        <v>143.45709536794413</v>
      </c>
      <c r="I12" s="110">
        <f t="shared" si="2"/>
        <v>-4074.7</v>
      </c>
      <c r="J12" s="110">
        <f t="shared" si="3"/>
        <v>37.3123076923077</v>
      </c>
      <c r="K12" s="112">
        <f>F12-1215.38</f>
        <v>1209.92</v>
      </c>
      <c r="L12" s="112">
        <f>F12/1215.38*100</f>
        <v>199.55075778768781</v>
      </c>
      <c r="M12" s="111">
        <f>E12-березень!E12</f>
        <v>585</v>
      </c>
      <c r="N12" s="179">
        <f>F12-березень!F12</f>
        <v>45.83000000000038</v>
      </c>
      <c r="O12" s="112">
        <f t="shared" si="4"/>
        <v>-539.1699999999996</v>
      </c>
      <c r="P12" s="42">
        <f t="shared" si="5"/>
        <v>7.8341880341881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2308.74</v>
      </c>
      <c r="G13" s="109">
        <f t="shared" si="0"/>
        <v>-356.10000000000036</v>
      </c>
      <c r="H13" s="32">
        <f t="shared" si="1"/>
        <v>86.63709641104155</v>
      </c>
      <c r="I13" s="110">
        <f t="shared" si="2"/>
        <v>-10091.26</v>
      </c>
      <c r="J13" s="110">
        <f t="shared" si="3"/>
        <v>18.618870967741934</v>
      </c>
      <c r="K13" s="112">
        <f>F13-1220.33</f>
        <v>1088.4099999999999</v>
      </c>
      <c r="L13" s="112">
        <f>F13/1220.33*100</f>
        <v>189.1898093138741</v>
      </c>
      <c r="M13" s="111">
        <f>E13-березень!E13</f>
        <v>755.0000000000002</v>
      </c>
      <c r="N13" s="179">
        <f>F13-березень!F13</f>
        <v>-116.20000000000027</v>
      </c>
      <c r="O13" s="112">
        <f t="shared" si="4"/>
        <v>-871.2000000000005</v>
      </c>
      <c r="P13" s="42">
        <f t="shared" si="5"/>
        <v>-15.390728476821225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F14-1859.78</f>
        <v>-669.97</v>
      </c>
      <c r="L14" s="112">
        <f>F14/1859.78*100</f>
        <v>63.97584660551247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185.06</v>
      </c>
      <c r="G15" s="36">
        <f t="shared" si="0"/>
        <v>65.06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E15-березень!E15</f>
        <v>10</v>
      </c>
      <c r="N15" s="178">
        <f>F15-березень!F15</f>
        <v>0</v>
      </c>
      <c r="O15" s="40">
        <f t="shared" si="4"/>
        <v>-10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18288.04</v>
      </c>
      <c r="G19" s="36">
        <f t="shared" si="0"/>
        <v>-10272.36</v>
      </c>
      <c r="H19" s="32">
        <f t="shared" si="1"/>
        <v>64.03285668267952</v>
      </c>
      <c r="I19" s="42">
        <f t="shared" si="2"/>
        <v>-91611.95999999999</v>
      </c>
      <c r="J19" s="42">
        <f t="shared" si="3"/>
        <v>16.640618744313013</v>
      </c>
      <c r="K19" s="185">
        <f>F19-10070.48</f>
        <v>8217.560000000001</v>
      </c>
      <c r="L19" s="185">
        <f>F19/10070.48*100</f>
        <v>181.60047981824107</v>
      </c>
      <c r="M19" s="32">
        <f>E19-березень!E19</f>
        <v>8500</v>
      </c>
      <c r="N19" s="178">
        <f>F19-березень!F19</f>
        <v>17.150000000001455</v>
      </c>
      <c r="O19" s="40">
        <f t="shared" si="4"/>
        <v>-8482.849999999999</v>
      </c>
      <c r="P19" s="42">
        <f t="shared" si="5"/>
        <v>0.20176470588237008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80643.10999999999</v>
      </c>
      <c r="G20" s="36">
        <f t="shared" si="0"/>
        <v>-16557.900000000023</v>
      </c>
      <c r="H20" s="32">
        <f t="shared" si="1"/>
        <v>82.96530046344166</v>
      </c>
      <c r="I20" s="42">
        <f t="shared" si="2"/>
        <v>-190296.89</v>
      </c>
      <c r="J20" s="42">
        <f t="shared" si="3"/>
        <v>29.764195024728718</v>
      </c>
      <c r="K20" s="132">
        <f>F20-49978.98</f>
        <v>30664.129999999983</v>
      </c>
      <c r="L20" s="110">
        <f>F20/49978.98*100</f>
        <v>161.35405324398374</v>
      </c>
      <c r="M20" s="32">
        <f>M21+M25+M26+M27</f>
        <v>23050.5</v>
      </c>
      <c r="N20" s="178">
        <f>F20-березень!F20</f>
        <v>1699.019999999975</v>
      </c>
      <c r="O20" s="40">
        <f t="shared" si="4"/>
        <v>-21351.480000000025</v>
      </c>
      <c r="P20" s="42">
        <f t="shared" si="5"/>
        <v>7.370859634281143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40975.7</v>
      </c>
      <c r="G21" s="36">
        <f t="shared" si="0"/>
        <v>-10710.560000000005</v>
      </c>
      <c r="H21" s="32">
        <f t="shared" si="1"/>
        <v>79.27774228586088</v>
      </c>
      <c r="I21" s="42">
        <f t="shared" si="2"/>
        <v>-120424.3</v>
      </c>
      <c r="J21" s="42">
        <f t="shared" si="3"/>
        <v>25.387670384138783</v>
      </c>
      <c r="K21" s="132">
        <f>F21-24610.26</f>
        <v>16365.439999999999</v>
      </c>
      <c r="L21" s="110">
        <f>F21/24610.26*100</f>
        <v>166.49844414484042</v>
      </c>
      <c r="M21" s="32">
        <f>M22+M23+M24</f>
        <v>14845</v>
      </c>
      <c r="N21" s="178">
        <f>F21-березень!F21</f>
        <v>587.5899999999965</v>
      </c>
      <c r="O21" s="40">
        <f t="shared" si="4"/>
        <v>-14257.410000000003</v>
      </c>
      <c r="P21" s="42">
        <f t="shared" si="5"/>
        <v>3.958167733243493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4374.58</v>
      </c>
      <c r="G22" s="109">
        <f>F22-E22</f>
        <v>-2257.0200000000004</v>
      </c>
      <c r="H22" s="111">
        <f t="shared" si="1"/>
        <v>65.96567947403341</v>
      </c>
      <c r="I22" s="110">
        <f t="shared" si="2"/>
        <v>-14125.42</v>
      </c>
      <c r="J22" s="110">
        <f t="shared" si="3"/>
        <v>23.646378378378376</v>
      </c>
      <c r="K22" s="174">
        <f>F22-526.28</f>
        <v>3848.3</v>
      </c>
      <c r="L22" s="174">
        <f>F22/526.28*100</f>
        <v>831.2267234171925</v>
      </c>
      <c r="M22" s="111">
        <f>E22-березень!E22</f>
        <v>3100.0000000000005</v>
      </c>
      <c r="N22" s="179">
        <f>F22-березень!F22</f>
        <v>179.6899999999996</v>
      </c>
      <c r="O22" s="112">
        <f t="shared" si="4"/>
        <v>-2920.310000000001</v>
      </c>
      <c r="P22" s="110">
        <f t="shared" si="5"/>
        <v>5.796451612903212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313.88</v>
      </c>
      <c r="G23" s="109">
        <f>F23-E23</f>
        <v>37.04000000000002</v>
      </c>
      <c r="H23" s="111">
        <f t="shared" si="1"/>
        <v>113.37956942638347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E23-березень!E23</f>
        <v>74.99999999999997</v>
      </c>
      <c r="N23" s="179">
        <f>F23-березень!F23</f>
        <v>0</v>
      </c>
      <c r="O23" s="112">
        <f t="shared" si="4"/>
        <v>-74.99999999999997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36287.24</v>
      </c>
      <c r="G24" s="109">
        <f>F24-E24</f>
        <v>-8490.580000000002</v>
      </c>
      <c r="H24" s="111">
        <f t="shared" si="1"/>
        <v>81.03842482729172</v>
      </c>
      <c r="I24" s="110">
        <f t="shared" si="2"/>
        <v>-103812.76000000001</v>
      </c>
      <c r="J24" s="110">
        <f t="shared" si="3"/>
        <v>25.900956459671658</v>
      </c>
      <c r="K24" s="174">
        <f>F24-24046.28</f>
        <v>12240.96</v>
      </c>
      <c r="L24" s="174">
        <f>F24/24046.28*100</f>
        <v>150.90583657846452</v>
      </c>
      <c r="M24" s="111">
        <f>E24-березень!E24</f>
        <v>11670</v>
      </c>
      <c r="N24" s="179">
        <f>F24-березень!F24</f>
        <v>407.90000000000146</v>
      </c>
      <c r="O24" s="112">
        <f t="shared" si="4"/>
        <v>-11262.099999999999</v>
      </c>
      <c r="P24" s="110">
        <f t="shared" si="5"/>
        <v>3.4952870608397726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24.81</v>
      </c>
      <c r="G25" s="36">
        <f>F25-E25</f>
        <v>5.299999999999997</v>
      </c>
      <c r="H25" s="32">
        <f t="shared" si="1"/>
        <v>127.16555612506406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E25-березень!E25</f>
        <v>5.500000000000002</v>
      </c>
      <c r="N25" s="178">
        <f>F25-березень!F25</f>
        <v>0</v>
      </c>
      <c r="O25" s="40">
        <f t="shared" si="4"/>
        <v>-5.500000000000002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-85.13</v>
      </c>
      <c r="G26" s="36">
        <f aca="true" t="shared" si="6" ref="G26:G32">F26-E26</f>
        <v>-85.13</v>
      </c>
      <c r="H26" s="32"/>
      <c r="I26" s="42">
        <f t="shared" si="2"/>
        <v>-85.13</v>
      </c>
      <c r="J26" s="42"/>
      <c r="K26" s="132">
        <f>F26-12.89</f>
        <v>-98.02</v>
      </c>
      <c r="L26" s="132">
        <f>F26/12.89*100</f>
        <v>-660.4344453064391</v>
      </c>
      <c r="M26" s="32">
        <f>E26-березень!E26</f>
        <v>0</v>
      </c>
      <c r="N26" s="178">
        <f>F26-березень!F26</f>
        <v>-3.589999999999989</v>
      </c>
      <c r="O26" s="40">
        <f t="shared" si="4"/>
        <v>-3.589999999999989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39727.73</v>
      </c>
      <c r="G27" s="36">
        <f t="shared" si="6"/>
        <v>-5767.509999999995</v>
      </c>
      <c r="H27" s="32">
        <f t="shared" si="1"/>
        <v>87.32282761888938</v>
      </c>
      <c r="I27" s="42">
        <f t="shared" si="2"/>
        <v>-69735.26999999999</v>
      </c>
      <c r="J27" s="42">
        <f t="shared" si="3"/>
        <v>36.29329545143108</v>
      </c>
      <c r="K27" s="106">
        <f>F27-25338.21</f>
        <v>14389.520000000004</v>
      </c>
      <c r="L27" s="106">
        <f>F27/25338.21*100</f>
        <v>156.7898048046804</v>
      </c>
      <c r="M27" s="32">
        <f>E27-березень!E27</f>
        <v>8200</v>
      </c>
      <c r="N27" s="178">
        <f>F27-березень!F27</f>
        <v>1115.020000000004</v>
      </c>
      <c r="O27" s="40">
        <f t="shared" si="4"/>
        <v>-7084.979999999996</v>
      </c>
      <c r="P27" s="42">
        <f>N27/M27*100</f>
        <v>13.59780487804883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E28-березень!E28</f>
        <v>0</v>
      </c>
      <c r="N28" s="179">
        <f>F28-березень!F28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9936.74</v>
      </c>
      <c r="G29" s="109">
        <f t="shared" si="6"/>
        <v>-1319.2299999999996</v>
      </c>
      <c r="H29" s="111">
        <f t="shared" si="1"/>
        <v>88.27973066737029</v>
      </c>
      <c r="I29" s="110">
        <f t="shared" si="2"/>
        <v>-17663.260000000002</v>
      </c>
      <c r="J29" s="110">
        <f t="shared" si="3"/>
        <v>36.00268115942029</v>
      </c>
      <c r="K29" s="142">
        <f>F29-6631.29</f>
        <v>3305.45</v>
      </c>
      <c r="L29" s="142">
        <f>F29/6631.29*100</f>
        <v>149.84625917430847</v>
      </c>
      <c r="M29" s="111">
        <f>E29-березень!E29</f>
        <v>1900</v>
      </c>
      <c r="N29" s="179">
        <f>F29-березень!F29</f>
        <v>124.25</v>
      </c>
      <c r="O29" s="112">
        <f t="shared" si="4"/>
        <v>-1775.75</v>
      </c>
      <c r="P29" s="110">
        <f>N29/M29*100</f>
        <v>6.5394736842105265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29783.14</v>
      </c>
      <c r="G30" s="109">
        <f t="shared" si="6"/>
        <v>-4452.940000000002</v>
      </c>
      <c r="H30" s="111">
        <f t="shared" si="1"/>
        <v>86.99342915427233</v>
      </c>
      <c r="I30" s="110">
        <f t="shared" si="2"/>
        <v>-52028.86</v>
      </c>
      <c r="J30" s="110">
        <f t="shared" si="3"/>
        <v>36.40436610766147</v>
      </c>
      <c r="K30" s="142">
        <f>F30-18703.62</f>
        <v>11079.52</v>
      </c>
      <c r="L30" s="142">
        <f>F30/18603.62*100</f>
        <v>160.0932506684183</v>
      </c>
      <c r="M30" s="111">
        <f>E30-березень!E30</f>
        <v>6300</v>
      </c>
      <c r="N30" s="179">
        <f>F30-березень!F30</f>
        <v>990.7599999999984</v>
      </c>
      <c r="O30" s="112">
        <f t="shared" si="4"/>
        <v>-5309.240000000002</v>
      </c>
      <c r="P30" s="110">
        <f>N30/M30*100</f>
        <v>15.72634920634918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14688.66</v>
      </c>
      <c r="G33" s="15">
        <f>G34+G35+G36+G37+G38+G39+G41+G42+G43+G44+G45+G50+G51+G55</f>
        <v>442.65</v>
      </c>
      <c r="H33" s="38">
        <f>F33/E33*100</f>
        <v>103.10704104933095</v>
      </c>
      <c r="I33" s="28">
        <f>F33-D33</f>
        <v>-28131.34</v>
      </c>
      <c r="J33" s="28">
        <f>F33/D33*100</f>
        <v>34.30326950023353</v>
      </c>
      <c r="K33" s="15">
        <f>F33-7649.28</f>
        <v>7039.38</v>
      </c>
      <c r="L33" s="15">
        <f>F33/7649.28*100</f>
        <v>192.02670055220884</v>
      </c>
      <c r="M33" s="15">
        <f>M34+M35+M36+M37+M38+M39+M41+M42+M43+M44+M45+M50+M51+M55</f>
        <v>3735.999</v>
      </c>
      <c r="N33" s="15">
        <f>N34+N35+N36+N37+N38+N39+N41+N42+N43+N44+N45+N50+N51+N55</f>
        <v>4016.3900000000003</v>
      </c>
      <c r="O33" s="15">
        <f>O34+O35+O36+O37+O38+O39+O41+O42+O43+O44+O45+O50+O51+O55</f>
        <v>280.3910000000001</v>
      </c>
      <c r="P33" s="15">
        <f>N33/M33*100</f>
        <v>107.50511442856383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26.96</v>
      </c>
      <c r="G36" s="36">
        <f t="shared" si="9"/>
        <v>-44.48</v>
      </c>
      <c r="H36" s="32">
        <f t="shared" si="7"/>
        <v>37.73796192609183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E36-березень!E36</f>
        <v>20</v>
      </c>
      <c r="N36" s="178">
        <f>F36-березень!F36</f>
        <v>0</v>
      </c>
      <c r="O36" s="40">
        <f t="shared" si="11"/>
        <v>-20</v>
      </c>
      <c r="P36" s="42">
        <f t="shared" si="8"/>
        <v>0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21.15</v>
      </c>
      <c r="G38" s="36">
        <f t="shared" si="9"/>
        <v>-18.85</v>
      </c>
      <c r="H38" s="32">
        <f t="shared" si="7"/>
        <v>52.87499999999999</v>
      </c>
      <c r="I38" s="42">
        <f t="shared" si="10"/>
        <v>-128.85</v>
      </c>
      <c r="J38" s="42">
        <f t="shared" si="12"/>
        <v>14.099999999999998</v>
      </c>
      <c r="K38" s="42">
        <f>F38-30.76</f>
        <v>-9.610000000000003</v>
      </c>
      <c r="L38" s="42">
        <f>F38/30.76*100</f>
        <v>68.75812743823147</v>
      </c>
      <c r="M38" s="32">
        <f>E38-березень!E38</f>
        <v>10</v>
      </c>
      <c r="N38" s="178">
        <f>F38-березень!F38</f>
        <v>0.75</v>
      </c>
      <c r="O38" s="40">
        <f t="shared" si="11"/>
        <v>-9.25</v>
      </c>
      <c r="P38" s="42">
        <f t="shared" si="8"/>
        <v>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2420.88</v>
      </c>
      <c r="G41" s="36">
        <f t="shared" si="9"/>
        <v>-518.1399999999999</v>
      </c>
      <c r="H41" s="32">
        <f t="shared" si="7"/>
        <v>82.37031391416187</v>
      </c>
      <c r="I41" s="42">
        <f t="shared" si="10"/>
        <v>-7479.12</v>
      </c>
      <c r="J41" s="42">
        <f t="shared" si="12"/>
        <v>24.453333333333337</v>
      </c>
      <c r="K41" s="42">
        <f>F41-2528.58</f>
        <v>-107.69999999999982</v>
      </c>
      <c r="L41" s="42">
        <f>F41/2528.58*100</f>
        <v>95.74069240443254</v>
      </c>
      <c r="M41" s="32">
        <f>E41-березень!E41</f>
        <v>800</v>
      </c>
      <c r="N41" s="178">
        <f>F41-березень!F41</f>
        <v>81.30000000000018</v>
      </c>
      <c r="O41" s="40">
        <f t="shared" si="11"/>
        <v>-718.6999999999998</v>
      </c>
      <c r="P41" s="42">
        <f t="shared" si="8"/>
        <v>10.162500000000023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390</v>
      </c>
      <c r="F42" s="170">
        <v>1.2</v>
      </c>
      <c r="G42" s="36">
        <f t="shared" si="9"/>
        <v>-388.8</v>
      </c>
      <c r="H42" s="32">
        <f t="shared" si="7"/>
        <v>0.3076923076923077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E42-березень!E42</f>
        <v>130</v>
      </c>
      <c r="N42" s="178">
        <f>F42-березень!F42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F44-1946.14</f>
        <v>685.2099999999998</v>
      </c>
      <c r="L44" s="42">
        <f>F44/1946.14*100</f>
        <v>135.20866946879462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1560.24</v>
      </c>
      <c r="G45" s="36">
        <f t="shared" si="9"/>
        <v>-453.95000000000005</v>
      </c>
      <c r="H45" s="32">
        <f t="shared" si="7"/>
        <v>77.4624042419037</v>
      </c>
      <c r="I45" s="42">
        <f t="shared" si="10"/>
        <v>-5739.76</v>
      </c>
      <c r="J45" s="42">
        <f t="shared" si="12"/>
        <v>21.37315068493151</v>
      </c>
      <c r="K45" s="132">
        <f>F45-2181.98</f>
        <v>-621.74</v>
      </c>
      <c r="L45" s="132">
        <f>F45/2181.98*100</f>
        <v>71.50569666083099</v>
      </c>
      <c r="M45" s="32">
        <f>E45-березень!E45</f>
        <v>641</v>
      </c>
      <c r="N45" s="178">
        <f>F45-березень!F45</f>
        <v>60.1400000000001</v>
      </c>
      <c r="O45" s="40">
        <f t="shared" si="11"/>
        <v>-580.8599999999999</v>
      </c>
      <c r="P45" s="132">
        <f t="shared" si="8"/>
        <v>9.38221528861156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172.48</v>
      </c>
      <c r="G46" s="36">
        <f t="shared" si="9"/>
        <v>-116.51000000000002</v>
      </c>
      <c r="H46" s="32">
        <f t="shared" si="7"/>
        <v>59.68372608048721</v>
      </c>
      <c r="I46" s="110">
        <f t="shared" si="10"/>
        <v>-927.52</v>
      </c>
      <c r="J46" s="110">
        <f t="shared" si="12"/>
        <v>15.68</v>
      </c>
      <c r="K46" s="110">
        <f>F46-216.18</f>
        <v>-43.70000000000002</v>
      </c>
      <c r="L46" s="110">
        <f>F46/216.18*100</f>
        <v>79.78536404847812</v>
      </c>
      <c r="M46" s="111">
        <f>E46-березень!E46</f>
        <v>100</v>
      </c>
      <c r="N46" s="179">
        <f>F46-березень!F46</f>
        <v>8.799999999999983</v>
      </c>
      <c r="O46" s="112">
        <f t="shared" si="11"/>
        <v>-91.20000000000002</v>
      </c>
      <c r="P46" s="132">
        <f t="shared" si="8"/>
        <v>8.799999999999983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F48-0.53</f>
        <v>-0.53</v>
      </c>
      <c r="L48" s="110">
        <f>F48/0.53*100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1387.65</v>
      </c>
      <c r="G49" s="36">
        <f t="shared" si="9"/>
        <v>-334.52</v>
      </c>
      <c r="H49" s="32">
        <f t="shared" si="7"/>
        <v>80.57566906867498</v>
      </c>
      <c r="I49" s="110">
        <f t="shared" si="10"/>
        <v>-4766.35</v>
      </c>
      <c r="J49" s="110">
        <f t="shared" si="12"/>
        <v>22.54874878128047</v>
      </c>
      <c r="K49" s="110">
        <f>F49-1921.57</f>
        <v>-533.9199999999998</v>
      </c>
      <c r="L49" s="110">
        <f>F49/1921.57*100</f>
        <v>72.21438719380508</v>
      </c>
      <c r="M49" s="111">
        <f>E49-березень!E49</f>
        <v>540</v>
      </c>
      <c r="N49" s="179">
        <f>F49-березень!F49</f>
        <v>51.350000000000136</v>
      </c>
      <c r="O49" s="112">
        <f t="shared" si="11"/>
        <v>-488.64999999999986</v>
      </c>
      <c r="P49" s="132">
        <f t="shared" si="8"/>
        <v>9.509259259259284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1143.19</v>
      </c>
      <c r="G51" s="36">
        <f t="shared" si="9"/>
        <v>-334.78999999999996</v>
      </c>
      <c r="H51" s="32">
        <f t="shared" si="7"/>
        <v>77.34813732256188</v>
      </c>
      <c r="I51" s="42">
        <f t="shared" si="10"/>
        <v>-3656.81</v>
      </c>
      <c r="J51" s="42">
        <f t="shared" si="12"/>
        <v>23.816458333333333</v>
      </c>
      <c r="K51" s="42">
        <f>F51-960.47</f>
        <v>182.72000000000003</v>
      </c>
      <c r="L51" s="42">
        <f>F51/960.47*100</f>
        <v>119.0240194904578</v>
      </c>
      <c r="M51" s="32">
        <f>E51-березень!E51</f>
        <v>470</v>
      </c>
      <c r="N51" s="178">
        <f>F51-березень!F51</f>
        <v>28.350000000000136</v>
      </c>
      <c r="O51" s="40">
        <f t="shared" si="11"/>
        <v>-441.64999999999986</v>
      </c>
      <c r="P51" s="42">
        <f t="shared" si="8"/>
        <v>6.03191489361705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244.9</v>
      </c>
      <c r="G53" s="36"/>
      <c r="H53" s="32"/>
      <c r="I53" s="42"/>
      <c r="J53" s="42"/>
      <c r="K53" s="112">
        <f>F53-239.6</f>
        <v>5.300000000000011</v>
      </c>
      <c r="L53" s="112">
        <f>F53/239.6*100</f>
        <v>102.21202003338898</v>
      </c>
      <c r="M53" s="32">
        <f>E53-березень!E53</f>
        <v>0</v>
      </c>
      <c r="N53" s="179">
        <f>F53-березень!F53</f>
        <v>16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F56-6.1</f>
        <v>7.42</v>
      </c>
      <c r="L56" s="42">
        <f>F56/6.1*100</f>
        <v>221.63934426229508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E57-березень!E57</f>
        <v>0</v>
      </c>
      <c r="N57" s="178">
        <f>F57-березень!F57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229883.99999999997</v>
      </c>
      <c r="G58" s="37">
        <f>F58-E58</f>
        <v>-56044.30999999997</v>
      </c>
      <c r="H58" s="38">
        <f>F58/E58*100</f>
        <v>80.39917418460593</v>
      </c>
      <c r="I58" s="28">
        <f>F58-D58</f>
        <v>-654016.6</v>
      </c>
      <c r="J58" s="28">
        <f>F58/D58*100</f>
        <v>26.00790179348221</v>
      </c>
      <c r="K58" s="28">
        <f>F58-147138.18</f>
        <v>82745.81999999998</v>
      </c>
      <c r="L58" s="28">
        <f>F58/147138.18*100</f>
        <v>156.2368108671726</v>
      </c>
      <c r="M58" s="15">
        <f>M8+M33+M56+M57</f>
        <v>75098.79899999998</v>
      </c>
      <c r="N58" s="15">
        <f>N8+N33+N56+N57</f>
        <v>9418.219999999963</v>
      </c>
      <c r="O58" s="41">
        <f>N58-M58</f>
        <v>-65680.57900000003</v>
      </c>
      <c r="P58" s="28">
        <f>N58/M58*100</f>
        <v>12.541106016888454</v>
      </c>
      <c r="Q58" s="28">
        <f>N58-34768</f>
        <v>-25349.780000000035</v>
      </c>
      <c r="R58" s="128">
        <f>N58/34768</f>
        <v>0.2708875977910712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 hidden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0.16</v>
      </c>
      <c r="G67" s="36">
        <f aca="true" t="shared" si="13" ref="G67:G77">F67-E67</f>
        <v>-366.44</v>
      </c>
      <c r="H67" s="32"/>
      <c r="I67" s="43">
        <f aca="true" t="shared" si="14" ref="I67:I77">F67-D67</f>
        <v>-4199.84</v>
      </c>
      <c r="J67" s="43">
        <f>F67/D67*100</f>
        <v>0.00380952380952381</v>
      </c>
      <c r="K67" s="43">
        <f>F67-33.47</f>
        <v>-33.31</v>
      </c>
      <c r="L67" s="43">
        <f>F67/33.47*100</f>
        <v>0.47804003585300275</v>
      </c>
      <c r="M67" s="32">
        <f>E67-березень!E67</f>
        <v>294.6</v>
      </c>
      <c r="N67" s="178">
        <f>F67-березень!F67</f>
        <v>0.010000000000000009</v>
      </c>
      <c r="O67" s="40">
        <f aca="true" t="shared" si="15" ref="O67:O80">N67-M67</f>
        <v>-294.59000000000003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408.37</v>
      </c>
      <c r="G68" s="36">
        <f t="shared" si="13"/>
        <v>-1225.6399999999999</v>
      </c>
      <c r="H68" s="32">
        <f>F68/E68*100</f>
        <v>24.991891114497463</v>
      </c>
      <c r="I68" s="43">
        <f t="shared" si="14"/>
        <v>-7050.63</v>
      </c>
      <c r="J68" s="43">
        <f>F68/D68*100</f>
        <v>5.474862582115565</v>
      </c>
      <c r="K68" s="43">
        <f>F68-1409.78</f>
        <v>-1001.41</v>
      </c>
      <c r="L68" s="43">
        <f>F68/1409.78*100</f>
        <v>28.96693101051228</v>
      </c>
      <c r="M68" s="32">
        <f>E68-березень!E68</f>
        <v>242.5999999999999</v>
      </c>
      <c r="N68" s="178">
        <f>F68-березень!F68</f>
        <v>89.73000000000002</v>
      </c>
      <c r="O68" s="40">
        <f t="shared" si="15"/>
        <v>-152.8699999999999</v>
      </c>
      <c r="P68" s="43">
        <f>N68/M68*100</f>
        <v>36.9868095630668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7957.09</v>
      </c>
      <c r="G69" s="36">
        <f t="shared" si="13"/>
        <v>6768.24</v>
      </c>
      <c r="H69" s="32">
        <f>F69/E69*100</f>
        <v>669.3098372376667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E69-березень!E69</f>
        <v>301.9999999999999</v>
      </c>
      <c r="N69" s="178">
        <f>F69-березень!F69</f>
        <v>0</v>
      </c>
      <c r="O69" s="40">
        <f t="shared" si="15"/>
        <v>-301.9999999999999</v>
      </c>
      <c r="P69" s="43">
        <f>N69/M69*100</f>
        <v>0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3</v>
      </c>
      <c r="G70" s="36">
        <f t="shared" si="13"/>
        <v>-1</v>
      </c>
      <c r="H70" s="32">
        <f>F70/E70*100</f>
        <v>75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E70-березень!E70</f>
        <v>1</v>
      </c>
      <c r="N70" s="178">
        <f>F70-березень!F70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8368.62</v>
      </c>
      <c r="G71" s="45">
        <f t="shared" si="13"/>
        <v>5175.160000000001</v>
      </c>
      <c r="H71" s="52">
        <f>F71/E71*100</f>
        <v>262.05494980366126</v>
      </c>
      <c r="I71" s="44">
        <f t="shared" si="14"/>
        <v>-9302.38</v>
      </c>
      <c r="J71" s="44">
        <f>F71/D71*100</f>
        <v>47.35793107351027</v>
      </c>
      <c r="K71" s="44">
        <f>F71-1454.31</f>
        <v>6914.310000000001</v>
      </c>
      <c r="L71" s="44">
        <f>F71/1454.31*100</f>
        <v>575.4357736658623</v>
      </c>
      <c r="M71" s="45">
        <f>M67+M68+M69+M70</f>
        <v>840.1999999999998</v>
      </c>
      <c r="N71" s="183">
        <f>N67+N68+N69+N70</f>
        <v>89.74000000000002</v>
      </c>
      <c r="O71" s="44">
        <f t="shared" si="15"/>
        <v>-750.4599999999998</v>
      </c>
      <c r="P71" s="44">
        <f>N71/M71*100</f>
        <v>10.680790288026664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E72-березень!E72</f>
        <v>0</v>
      </c>
      <c r="N72" s="178">
        <f>F72-березень!F72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2019.15</v>
      </c>
      <c r="G74" s="36">
        <f t="shared" si="13"/>
        <v>-1.5499999999999545</v>
      </c>
      <c r="H74" s="32">
        <f>F74/E74*100</f>
        <v>99.92329390805168</v>
      </c>
      <c r="I74" s="43">
        <f t="shared" si="14"/>
        <v>-7480.85</v>
      </c>
      <c r="J74" s="40">
        <f>F74/D74*100</f>
        <v>21.254210526315788</v>
      </c>
      <c r="K74" s="40">
        <f>F74-0</f>
        <v>2019.15</v>
      </c>
      <c r="L74" s="43"/>
      <c r="M74" s="32">
        <f>E74-березень!E74</f>
        <v>15</v>
      </c>
      <c r="N74" s="178">
        <f>F74-березень!F74</f>
        <v>0.15000000000009095</v>
      </c>
      <c r="O74" s="40">
        <f>N74-M74</f>
        <v>-14.849999999999909</v>
      </c>
      <c r="P74" s="46">
        <f>N74/M74*100</f>
        <v>1.0000000000006064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2019.99</v>
      </c>
      <c r="G76" s="30">
        <f>G72+G75+G73+G74</f>
        <v>-0.7099999999999544</v>
      </c>
      <c r="H76" s="52">
        <f>F76/E76*100</f>
        <v>99.96486366110754</v>
      </c>
      <c r="I76" s="44">
        <f t="shared" si="14"/>
        <v>-7481.01</v>
      </c>
      <c r="J76" s="44">
        <f>F76/D76*100</f>
        <v>21.260814651089362</v>
      </c>
      <c r="K76" s="44">
        <f>F76-0.58</f>
        <v>2019.41</v>
      </c>
      <c r="L76" s="44">
        <f>F76/0.58*100</f>
        <v>348274.1379310345</v>
      </c>
      <c r="M76" s="45">
        <f>M72+M75+M73+M74</f>
        <v>15</v>
      </c>
      <c r="N76" s="183">
        <f>N72+N75+N73+N74</f>
        <v>0.15000000000009095</v>
      </c>
      <c r="O76" s="45">
        <f>O72+O75+O73+O74</f>
        <v>-14.849999999999909</v>
      </c>
      <c r="P76" s="44">
        <f>N76/M76*100</f>
        <v>1.0000000000006064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10397.53</v>
      </c>
      <c r="G79" s="37">
        <f>F79-E79</f>
        <v>5170.2300000000005</v>
      </c>
      <c r="H79" s="38">
        <f>F79/E79*100</f>
        <v>198.90823178313852</v>
      </c>
      <c r="I79" s="28">
        <f>F79-D79</f>
        <v>-16817.47</v>
      </c>
      <c r="J79" s="28">
        <f>F79/D79*100</f>
        <v>38.20514422193643</v>
      </c>
      <c r="K79" s="28">
        <f>F79-1453.19</f>
        <v>8944.34</v>
      </c>
      <c r="L79" s="28">
        <f>F79/1453.19*100</f>
        <v>715.496941212092</v>
      </c>
      <c r="M79" s="24">
        <f>M65+M77+M71+M76</f>
        <v>855.6299999999998</v>
      </c>
      <c r="N79" s="24">
        <f>N65+N77+N71+N76+N78</f>
        <v>89.89000000000011</v>
      </c>
      <c r="O79" s="28">
        <f t="shared" si="15"/>
        <v>-765.7399999999997</v>
      </c>
      <c r="P79" s="28">
        <f>N79/M79*100</f>
        <v>10.505709243481427</v>
      </c>
      <c r="Q79" s="28">
        <f>N79-8104.96</f>
        <v>-8015.07</v>
      </c>
      <c r="R79" s="101">
        <f>N79/8104.96</f>
        <v>0.011090739497789022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240281.52999999997</v>
      </c>
      <c r="G80" s="37">
        <f>F80-E80</f>
        <v>-50874.07999999996</v>
      </c>
      <c r="H80" s="38">
        <f>F80/E80*100</f>
        <v>82.52684191796959</v>
      </c>
      <c r="I80" s="28">
        <f>F80-D80</f>
        <v>-670834.0700000001</v>
      </c>
      <c r="J80" s="28">
        <f>F80/D80*100</f>
        <v>26.372233117290495</v>
      </c>
      <c r="K80" s="28">
        <f>K58+K79</f>
        <v>91690.15999999997</v>
      </c>
      <c r="L80" s="28">
        <f>F80/139550.7*100</f>
        <v>172.1822463090475</v>
      </c>
      <c r="M80" s="15">
        <f>M58+M79</f>
        <v>75954.42899999999</v>
      </c>
      <c r="N80" s="15">
        <f>N58+N79</f>
        <v>9508.109999999962</v>
      </c>
      <c r="O80" s="28">
        <f t="shared" si="15"/>
        <v>-66446.31900000003</v>
      </c>
      <c r="P80" s="28">
        <f>N80/M80*100</f>
        <v>12.518177182268019</v>
      </c>
      <c r="Q80" s="28">
        <f>N80-42872.96</f>
        <v>-33364.850000000035</v>
      </c>
      <c r="R80" s="101">
        <f>N80/42872.96</f>
        <v>0.22177405059039457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18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3648.921055555557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42465</v>
      </c>
      <c r="D84" s="31">
        <v>2877.6</v>
      </c>
      <c r="G84" s="4" t="s">
        <v>59</v>
      </c>
      <c r="N84" s="213"/>
      <c r="O84" s="213"/>
    </row>
    <row r="85" spans="3:15" ht="15">
      <c r="C85" s="87">
        <v>42464</v>
      </c>
      <c r="D85" s="31">
        <v>2210.9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42461</v>
      </c>
      <c r="D86" s="31">
        <v>4329.7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57.35075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2" sqref="G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147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146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149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8.7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10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228.9</v>
      </c>
      <c r="G53" s="36"/>
      <c r="H53" s="32"/>
      <c r="I53" s="42"/>
      <c r="J53" s="42"/>
      <c r="K53" s="112">
        <f>F53-239.6</f>
        <v>-10.699999999999989</v>
      </c>
      <c r="L53" s="112">
        <f>F53/239.6*100</f>
        <v>95.53422370617697</v>
      </c>
      <c r="M53" s="111"/>
      <c r="N53" s="179">
        <f>F53-лютий!F53</f>
        <v>81.6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3"/>
      <c r="O84" s="213"/>
    </row>
    <row r="85" spans="3:15" ht="15">
      <c r="C85" s="87">
        <v>42459</v>
      </c>
      <c r="D85" s="31">
        <v>7576.3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42458</v>
      </c>
      <c r="D86" s="31">
        <v>9190.1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f>4343.7</f>
        <v>4343.7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2016-04-05T08:19:48Z</cp:lastPrinted>
  <dcterms:created xsi:type="dcterms:W3CDTF">2003-07-28T11:27:56Z</dcterms:created>
  <dcterms:modified xsi:type="dcterms:W3CDTF">2016-04-06T09:39:46Z</dcterms:modified>
  <cp:category/>
  <cp:version/>
  <cp:contentType/>
  <cp:contentStatus/>
</cp:coreProperties>
</file>